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<sst xmlns="http://schemas.openxmlformats.org/spreadsheetml/2006/main" count="613" uniqueCount="215">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</sst>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Лист4"/>
    </sheetNames>
    <sheetDataSet>
      <sheetData sheetId="17">
        <row r="6">
          <cell r="G6">
            <v>114723244.87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100898022.91</v>
          </cell>
        </row>
      </sheetData>
      <sheetData sheetId="19">
        <row r="28">
          <cell r="C28">
            <v>4044901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8" sqref="F13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211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188</v>
      </c>
      <c r="J4" s="197" t="s">
        <v>189</v>
      </c>
      <c r="K4" s="201" t="s">
        <v>196</v>
      </c>
      <c r="L4" s="202"/>
      <c r="M4" s="214"/>
      <c r="N4" s="168" t="s">
        <v>214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210</v>
      </c>
      <c r="F5" s="216"/>
      <c r="G5" s="210"/>
      <c r="H5" s="178"/>
      <c r="I5" s="212"/>
      <c r="J5" s="199"/>
      <c r="K5" s="153"/>
      <c r="L5" s="164"/>
      <c r="M5" s="151" t="s">
        <v>212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99325.25999999998</v>
      </c>
      <c r="G8" s="22">
        <f aca="true" t="shared" si="0" ref="G8:G30">F8-E8</f>
        <v>-15912.640000000043</v>
      </c>
      <c r="H8" s="51">
        <f>F8/E8*100</f>
        <v>86.19148734921407</v>
      </c>
      <c r="I8" s="36">
        <f aca="true" t="shared" si="1" ref="I8:I17">F8-D8</f>
        <v>-420004.04000000004</v>
      </c>
      <c r="J8" s="36">
        <f aca="true" t="shared" si="2" ref="J8:J14">F8/D8*100</f>
        <v>19.125679987630196</v>
      </c>
      <c r="K8" s="36">
        <f>F8-110917.9</f>
        <v>-11592.640000000014</v>
      </c>
      <c r="L8" s="136">
        <f>F8/110917.9</f>
        <v>0.8954844979935609</v>
      </c>
      <c r="M8" s="22">
        <f>M10+M19+M33+M56+M68+M30</f>
        <v>41173.10000000001</v>
      </c>
      <c r="N8" s="22">
        <f>N10+N19+N33+N56+N68+N30</f>
        <v>30012.01</v>
      </c>
      <c r="O8" s="36">
        <f aca="true" t="shared" si="3" ref="O8:O71">N8-M8</f>
        <v>-11161.090000000015</v>
      </c>
      <c r="P8" s="36">
        <f>F8/M8*100</f>
        <v>241.23823564414616</v>
      </c>
      <c r="Q8" s="36">
        <f>N8-38338.6</f>
        <v>-8326.59</v>
      </c>
      <c r="R8" s="134">
        <f>N8/38338.6</f>
        <v>0.7828144481019129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79337.48</v>
      </c>
      <c r="G9" s="22">
        <f t="shared" si="0"/>
        <v>79337.48</v>
      </c>
      <c r="H9" s="20"/>
      <c r="I9" s="56">
        <f t="shared" si="1"/>
        <v>-339028.72000000003</v>
      </c>
      <c r="J9" s="56">
        <f t="shared" si="2"/>
        <v>18.963644768626146</v>
      </c>
      <c r="K9" s="56"/>
      <c r="L9" s="135"/>
      <c r="M9" s="20">
        <f>M10+M17</f>
        <v>33586.40000000001</v>
      </c>
      <c r="N9" s="20">
        <f>N10+N17</f>
        <v>24591.489999999998</v>
      </c>
      <c r="O9" s="36">
        <f t="shared" si="3"/>
        <v>-8994.91000000001</v>
      </c>
      <c r="P9" s="56">
        <f>F9/M9*100</f>
        <v>236.21906485958596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79337.48</v>
      </c>
      <c r="G10" s="49">
        <f t="shared" si="0"/>
        <v>-14119.12000000001</v>
      </c>
      <c r="H10" s="40">
        <f aca="true" t="shared" si="4" ref="H10:H17">F10/E10*100</f>
        <v>84.89232435162417</v>
      </c>
      <c r="I10" s="56">
        <f t="shared" si="1"/>
        <v>-339028.72000000003</v>
      </c>
      <c r="J10" s="56">
        <f t="shared" si="2"/>
        <v>18.963644768626146</v>
      </c>
      <c r="K10" s="141">
        <f>F10-85215.1</f>
        <v>-5877.62000000001</v>
      </c>
      <c r="L10" s="142">
        <f>F10/85215.1</f>
        <v>0.9310260740173982</v>
      </c>
      <c r="M10" s="40">
        <f>E10-лютий!E10</f>
        <v>33586.40000000001</v>
      </c>
      <c r="N10" s="40">
        <f>F10-лютий!F10</f>
        <v>24591.489999999998</v>
      </c>
      <c r="O10" s="53">
        <f t="shared" si="3"/>
        <v>-8994.91000000001</v>
      </c>
      <c r="P10" s="56">
        <f aca="true" t="shared" si="5" ref="P10:P17">N10/M10*100</f>
        <v>73.21859443107923</v>
      </c>
      <c r="Q10" s="141">
        <f>N10-30092.3</f>
        <v>-5500.810000000001</v>
      </c>
      <c r="R10" s="142">
        <f>N10/30092.3</f>
        <v>0.8172020749494057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9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17521.79</v>
      </c>
      <c r="G33" s="49">
        <f aca="true" t="shared" si="14" ref="G33:G72">F33-E33</f>
        <v>-1336.7099999999991</v>
      </c>
      <c r="H33" s="40">
        <f aca="true" t="shared" si="15" ref="H33:H67">F33/E33*100</f>
        <v>92.91189649229791</v>
      </c>
      <c r="I33" s="56">
        <f>F33-D33</f>
        <v>-70544.20999999999</v>
      </c>
      <c r="J33" s="56">
        <f aca="true" t="shared" si="16" ref="J33:J72">F33/D33*100</f>
        <v>19.896202847864103</v>
      </c>
      <c r="K33" s="141">
        <f>F33-19762.7</f>
        <v>-2240.91</v>
      </c>
      <c r="L33" s="142">
        <f>F33/19762.7</f>
        <v>0.8866091171752848</v>
      </c>
      <c r="M33" s="40">
        <f>E33-лютий!E33</f>
        <v>6470.299999999999</v>
      </c>
      <c r="N33" s="40">
        <f>F33-лютий!F33</f>
        <v>4764.790000000001</v>
      </c>
      <c r="O33" s="53">
        <f t="shared" si="3"/>
        <v>-1705.5099999999984</v>
      </c>
      <c r="P33" s="56">
        <f aca="true" t="shared" si="17" ref="P33:P67">N33/M33*100</f>
        <v>73.64094400568754</v>
      </c>
      <c r="Q33" s="141">
        <f>N33-7227.1</f>
        <v>-2462.3099999999995</v>
      </c>
      <c r="R33" s="142">
        <f>N33/7227.1</f>
        <v>0.6592948762297465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13067.13</v>
      </c>
      <c r="G55" s="144">
        <f t="shared" si="14"/>
        <v>-951.0699999999997</v>
      </c>
      <c r="H55" s="146">
        <f t="shared" si="15"/>
        <v>93.21546275556062</v>
      </c>
      <c r="I55" s="145">
        <f t="shared" si="18"/>
        <v>-53198.87</v>
      </c>
      <c r="J55" s="145">
        <f t="shared" si="16"/>
        <v>19.719207436694532</v>
      </c>
      <c r="K55" s="148">
        <f>F55-14615.9</f>
        <v>-1548.7700000000004</v>
      </c>
      <c r="L55" s="149">
        <f>F55/14615.9</f>
        <v>0.8940352629670427</v>
      </c>
      <c r="M55" s="146">
        <f>E55-лютий!E55</f>
        <v>4518.199999999999</v>
      </c>
      <c r="N55" s="146">
        <f>F55-лютий!F55</f>
        <v>3587.0199999999986</v>
      </c>
      <c r="O55" s="148">
        <f t="shared" si="3"/>
        <v>-931.1800000000003</v>
      </c>
      <c r="P55" s="148">
        <f t="shared" si="17"/>
        <v>79.39046522951617</v>
      </c>
      <c r="Q55" s="194">
        <f>N55-4813.8</f>
        <v>-1226.7800000000016</v>
      </c>
      <c r="R55" s="195">
        <f>N55/4813.8</f>
        <v>0.7451535169720384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1646.62</v>
      </c>
      <c r="G56" s="49">
        <f t="shared" si="14"/>
        <v>-38.48000000000002</v>
      </c>
      <c r="H56" s="40">
        <f t="shared" si="15"/>
        <v>97.71645599667676</v>
      </c>
      <c r="I56" s="56">
        <f t="shared" si="18"/>
        <v>-5213.38</v>
      </c>
      <c r="J56" s="56">
        <f t="shared" si="16"/>
        <v>24.003206997084547</v>
      </c>
      <c r="K56" s="56">
        <f>F56-1629.5</f>
        <v>17.11999999999989</v>
      </c>
      <c r="L56" s="135">
        <f>F56/1629.5</f>
        <v>1.01050629027309</v>
      </c>
      <c r="M56" s="40">
        <f>E56-лютий!E56</f>
        <v>605.3999999999999</v>
      </c>
      <c r="N56" s="40">
        <f>F56-лютий!F56</f>
        <v>579.1599999999999</v>
      </c>
      <c r="O56" s="53">
        <f t="shared" si="3"/>
        <v>-26.24000000000001</v>
      </c>
      <c r="P56" s="56">
        <f t="shared" si="17"/>
        <v>95.66567558638917</v>
      </c>
      <c r="Q56" s="56">
        <f>N56-609.7</f>
        <v>-30.54000000000019</v>
      </c>
      <c r="R56" s="135">
        <f>N56/609.7</f>
        <v>0.9499097917008361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3099.6600000000003</v>
      </c>
      <c r="G74" s="50">
        <f aca="true" t="shared" si="24" ref="G74:G92">F74-E74</f>
        <v>267.6600000000003</v>
      </c>
      <c r="H74" s="51">
        <f aca="true" t="shared" si="25" ref="H74:H87">F74/E74*100</f>
        <v>109.45127118644069</v>
      </c>
      <c r="I74" s="36">
        <f aca="true" t="shared" si="26" ref="I74:I92">F74-D74</f>
        <v>-14565.939999999999</v>
      </c>
      <c r="J74" s="36">
        <f aca="true" t="shared" si="27" ref="J74:J92">F74/D74*100</f>
        <v>17.54630468254687</v>
      </c>
      <c r="K74" s="36">
        <f>F74-3848.8</f>
        <v>-749.1399999999999</v>
      </c>
      <c r="L74" s="136">
        <f>F74/3848.8</f>
        <v>0.8053575140303472</v>
      </c>
      <c r="M74" s="22">
        <f>M77+M86+M88+M89+M94+M95+M96+M97+M99+M87+M103</f>
        <v>965</v>
      </c>
      <c r="N74" s="22">
        <f>N77+N86+N88+N89+N94+N95+N96+N97+N99+N32+N103+N87</f>
        <v>995.1400000000001</v>
      </c>
      <c r="O74" s="55">
        <f aca="true" t="shared" si="28" ref="O74:O92">N74-M74</f>
        <v>30.1400000000001</v>
      </c>
      <c r="P74" s="36">
        <f>N74/M74*100</f>
        <v>103.12331606217617</v>
      </c>
      <c r="Q74" s="36">
        <f>N74-1138.4</f>
        <v>-143.26</v>
      </c>
      <c r="R74" s="136">
        <f>N74/1138.4</f>
        <v>0.874156711173577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207.71</v>
      </c>
      <c r="G87" s="49">
        <f t="shared" si="24"/>
        <v>207.71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110.33000000000001</v>
      </c>
      <c r="O87" s="53">
        <f t="shared" si="28"/>
        <v>110.33000000000001</v>
      </c>
      <c r="P87" s="56" t="e">
        <f t="shared" si="29"/>
        <v>#DIV/0!</v>
      </c>
      <c r="Q87" s="56">
        <f>N87-0</f>
        <v>110.33000000000001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25.66</v>
      </c>
      <c r="G89" s="49">
        <f t="shared" si="24"/>
        <v>-13.34</v>
      </c>
      <c r="H89" s="40">
        <f>F89/E89*100</f>
        <v>65.7948717948718</v>
      </c>
      <c r="I89" s="56">
        <f t="shared" si="26"/>
        <v>-149.34</v>
      </c>
      <c r="J89" s="56">
        <f t="shared" si="27"/>
        <v>14.662857142857144</v>
      </c>
      <c r="K89" s="56">
        <f>F89-47.5</f>
        <v>-21.84</v>
      </c>
      <c r="L89" s="135">
        <f>F89/47.5</f>
        <v>0.5402105263157895</v>
      </c>
      <c r="M89" s="40">
        <f>E89-лютий!E89</f>
        <v>15</v>
      </c>
      <c r="N89" s="40">
        <f>F89-лютий!F89</f>
        <v>6.25</v>
      </c>
      <c r="O89" s="53">
        <f t="shared" si="28"/>
        <v>-8.75</v>
      </c>
      <c r="P89" s="56">
        <f>N89/M89*100</f>
        <v>41.66666666666667</v>
      </c>
      <c r="Q89" s="56">
        <f>N89-15.9</f>
        <v>-9.65</v>
      </c>
      <c r="R89" s="135">
        <f>N89/15.9</f>
        <v>0.3930817610062893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195.87</v>
      </c>
      <c r="G96" s="49">
        <f t="shared" si="31"/>
        <v>-28.629999999999995</v>
      </c>
      <c r="H96" s="40">
        <f>F96/E96*100</f>
        <v>87.24721603563475</v>
      </c>
      <c r="I96" s="56">
        <f t="shared" si="32"/>
        <v>-1004.13</v>
      </c>
      <c r="J96" s="56">
        <f>F96/D96*100</f>
        <v>16.3225</v>
      </c>
      <c r="K96" s="56">
        <f>F96-161.5</f>
        <v>34.370000000000005</v>
      </c>
      <c r="L96" s="135">
        <f>F96/161.5</f>
        <v>1.2128173374613003</v>
      </c>
      <c r="M96" s="40">
        <f>E96-лютий!E96</f>
        <v>80</v>
      </c>
      <c r="N96" s="40">
        <f>F96-лютий!F96</f>
        <v>69.33</v>
      </c>
      <c r="O96" s="53">
        <f t="shared" si="33"/>
        <v>-10.670000000000002</v>
      </c>
      <c r="P96" s="56">
        <f>N96/M96*100</f>
        <v>86.6625</v>
      </c>
      <c r="Q96" s="56">
        <f>N96-101.5</f>
        <v>-32.17</v>
      </c>
      <c r="R96" s="135">
        <f>N96/101.5</f>
        <v>0.6830541871921182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902.52</v>
      </c>
      <c r="G99" s="49">
        <f t="shared" si="31"/>
        <v>125.51999999999998</v>
      </c>
      <c r="H99" s="40">
        <f>F99/E99*100</f>
        <v>116.15444015444014</v>
      </c>
      <c r="I99" s="56">
        <f t="shared" si="32"/>
        <v>-2977.48</v>
      </c>
      <c r="J99" s="56">
        <f>F99/D99*100</f>
        <v>23.260824742268042</v>
      </c>
      <c r="K99" s="56">
        <f>F99-730.6</f>
        <v>171.91999999999996</v>
      </c>
      <c r="L99" s="135">
        <f>F99/730.6</f>
        <v>1.2353134410073912</v>
      </c>
      <c r="M99" s="40">
        <f>E99-лютий!E99</f>
        <v>250</v>
      </c>
      <c r="N99" s="40">
        <f>F99-лютий!F99</f>
        <v>250.51999999999998</v>
      </c>
      <c r="O99" s="53">
        <f t="shared" si="33"/>
        <v>0.5199999999999818</v>
      </c>
      <c r="P99" s="56">
        <f>N99/M99*100</f>
        <v>100.20799999999998</v>
      </c>
      <c r="Q99" s="56">
        <f>N99-242.1</f>
        <v>8.419999999999987</v>
      </c>
      <c r="R99" s="135">
        <f>N99/242.1</f>
        <v>1.0347790169351507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169.9</v>
      </c>
      <c r="G102" s="144"/>
      <c r="H102" s="146"/>
      <c r="I102" s="145"/>
      <c r="J102" s="145"/>
      <c r="K102" s="148">
        <f>F102-88.6</f>
        <v>81.30000000000001</v>
      </c>
      <c r="L102" s="149">
        <f>F102/88.6</f>
        <v>1.9176072234762982</v>
      </c>
      <c r="M102" s="40">
        <f>E102-лютий!E102</f>
        <v>0</v>
      </c>
      <c r="N102" s="40">
        <f>F102-лютий!F102</f>
        <v>39.80000000000001</v>
      </c>
      <c r="O102" s="53"/>
      <c r="P102" s="60"/>
      <c r="Q102" s="60">
        <f>N102-31.4</f>
        <v>8.400000000000013</v>
      </c>
      <c r="R102" s="135">
        <f>N102/31.4</f>
        <v>1.2675159235668794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2.69</v>
      </c>
      <c r="G104" s="49">
        <f>F104-E104</f>
        <v>-3.5100000000000002</v>
      </c>
      <c r="H104" s="40"/>
      <c r="I104" s="56">
        <f t="shared" si="34"/>
        <v>-42.31</v>
      </c>
      <c r="J104" s="56">
        <f aca="true" t="shared" si="36" ref="J104:J109">F104/D104*100</f>
        <v>5.977777777777778</v>
      </c>
      <c r="K104" s="56">
        <f>F104-12.1</f>
        <v>-9.41</v>
      </c>
      <c r="L104" s="135">
        <f>F104/12.1</f>
        <v>0.22231404958677686</v>
      </c>
      <c r="M104" s="40">
        <f>E104-лютий!E104</f>
        <v>2</v>
      </c>
      <c r="N104" s="40">
        <f>F104-лютий!F104</f>
        <v>0.009999999999999787</v>
      </c>
      <c r="O104" s="53">
        <f t="shared" si="35"/>
        <v>-1.9900000000000002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102427.64999999998</v>
      </c>
      <c r="G106" s="50">
        <f>F106-E106</f>
        <v>-15648.45000000004</v>
      </c>
      <c r="H106" s="51">
        <f>F106/E106*100</f>
        <v>86.74714866090595</v>
      </c>
      <c r="I106" s="36">
        <f t="shared" si="34"/>
        <v>-434612.25000000006</v>
      </c>
      <c r="J106" s="36">
        <f t="shared" si="36"/>
        <v>19.0726331507212</v>
      </c>
      <c r="K106" s="36">
        <f>F106-114781.4</f>
        <v>-12353.750000000015</v>
      </c>
      <c r="L106" s="136">
        <f>F106/114781.4</f>
        <v>0.8923714992150295</v>
      </c>
      <c r="M106" s="22">
        <f>M8+M74+M104+M105</f>
        <v>42140.10000000001</v>
      </c>
      <c r="N106" s="22">
        <f>N8+N74+N104+N105</f>
        <v>31007.189999999995</v>
      </c>
      <c r="O106" s="55">
        <f t="shared" si="35"/>
        <v>-11132.910000000018</v>
      </c>
      <c r="P106" s="36">
        <f>N106/M106*100</f>
        <v>73.58119700712619</v>
      </c>
      <c r="Q106" s="36">
        <f>N106-39480.5</f>
        <v>-8473.310000000005</v>
      </c>
      <c r="R106" s="136">
        <f>N106/39480.5</f>
        <v>0.7853798710755941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79533.34999999999</v>
      </c>
      <c r="G107" s="71">
        <f>G10-G18+G96</f>
        <v>-14147.75000000001</v>
      </c>
      <c r="H107" s="72">
        <f>F107/E107*100</f>
        <v>84.89796767971339</v>
      </c>
      <c r="I107" s="52">
        <f t="shared" si="34"/>
        <v>-340032.85000000003</v>
      </c>
      <c r="J107" s="52">
        <f t="shared" si="36"/>
        <v>18.956090838585187</v>
      </c>
      <c r="K107" s="52">
        <f>F107-85425.6</f>
        <v>-5892.250000000015</v>
      </c>
      <c r="L107" s="137">
        <f>F107/85425.6</f>
        <v>0.9310247747747746</v>
      </c>
      <c r="M107" s="71">
        <f>M10-M18+M96</f>
        <v>33666.40000000001</v>
      </c>
      <c r="N107" s="71">
        <f>N10-N18+N96</f>
        <v>24660.82</v>
      </c>
      <c r="O107" s="53">
        <f t="shared" si="35"/>
        <v>-9005.580000000009</v>
      </c>
      <c r="P107" s="52">
        <f>N107/M107*100</f>
        <v>73.25054059834135</v>
      </c>
      <c r="Q107" s="52">
        <f>N107-30211.8</f>
        <v>-5550.98</v>
      </c>
      <c r="R107" s="137">
        <f>N107/30211.8</f>
        <v>0.8162645059215273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22894.29999999999</v>
      </c>
      <c r="G108" s="62">
        <f>F108-E108</f>
        <v>-1500.7000000000262</v>
      </c>
      <c r="H108" s="72">
        <f>F108/E108*100</f>
        <v>93.84832957573262</v>
      </c>
      <c r="I108" s="52">
        <f t="shared" si="34"/>
        <v>-94579.40000000002</v>
      </c>
      <c r="J108" s="52">
        <f t="shared" si="36"/>
        <v>19.48887282855651</v>
      </c>
      <c r="K108" s="52">
        <f>F108-29355.8</f>
        <v>-6461.500000000011</v>
      </c>
      <c r="L108" s="137">
        <f>F108/29355.8</f>
        <v>0.7798901750250372</v>
      </c>
      <c r="M108" s="71">
        <f>M106-M107</f>
        <v>8473.700000000004</v>
      </c>
      <c r="N108" s="71">
        <f>N106-N107</f>
        <v>6346.369999999995</v>
      </c>
      <c r="O108" s="53">
        <f t="shared" si="35"/>
        <v>-2127.330000000009</v>
      </c>
      <c r="P108" s="52">
        <f>N108/M108*100</f>
        <v>74.89491013370774</v>
      </c>
      <c r="Q108" s="52">
        <f>N108-9268.6</f>
        <v>-2922.230000000005</v>
      </c>
      <c r="R108" s="137">
        <f>N108/9268.6</f>
        <v>0.6847172172712163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79533.34999999999</v>
      </c>
      <c r="G109" s="111">
        <f>F109-E109</f>
        <v>-14147.750000000015</v>
      </c>
      <c r="H109" s="72">
        <f>F109/E109*100</f>
        <v>84.89796767971339</v>
      </c>
      <c r="I109" s="81">
        <f t="shared" si="34"/>
        <v>-340032.85000000003</v>
      </c>
      <c r="J109" s="52">
        <f t="shared" si="36"/>
        <v>18.956090838585187</v>
      </c>
      <c r="K109" s="52"/>
      <c r="L109" s="137"/>
      <c r="M109" s="122">
        <f>E109-лютий!E109</f>
        <v>33666.40000000001</v>
      </c>
      <c r="N109" s="71">
        <f>N107</f>
        <v>24660.82</v>
      </c>
      <c r="O109" s="118">
        <f t="shared" si="35"/>
        <v>-9005.580000000009</v>
      </c>
      <c r="P109" s="52">
        <f>N109/M109*100</f>
        <v>73.25054059834135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4044.901</v>
      </c>
      <c r="G110" s="62">
        <f>F110-E110</f>
        <v>-825.4989999999998</v>
      </c>
      <c r="H110" s="72"/>
      <c r="I110" s="85">
        <f t="shared" si="34"/>
        <v>-825.4790000000003</v>
      </c>
      <c r="J110" s="52"/>
      <c r="K110" s="52"/>
      <c r="L110" s="137"/>
      <c r="M110" s="40">
        <f>E110-лютий!E110</f>
        <v>1650.9889999999996</v>
      </c>
      <c r="N110" s="71">
        <f>F110-лютий!F110</f>
        <v>825.4899999999998</v>
      </c>
      <c r="O110" s="86">
        <f>N110-M110</f>
        <v>-825.4989999999998</v>
      </c>
      <c r="P110" s="52">
        <f>N110/M110*100</f>
        <v>49.99972743610042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249.67</v>
      </c>
      <c r="G114" s="49">
        <f t="shared" si="37"/>
        <v>-464.93000000000006</v>
      </c>
      <c r="H114" s="40">
        <f aca="true" t="shared" si="39" ref="H114:H125">F114/E114*100</f>
        <v>34.93842709207948</v>
      </c>
      <c r="I114" s="60">
        <f t="shared" si="38"/>
        <v>-3421.83</v>
      </c>
      <c r="J114" s="60">
        <f aca="true" t="shared" si="40" ref="J114:J120">F114/D114*100</f>
        <v>6.80021789459349</v>
      </c>
      <c r="K114" s="60">
        <f>F114-834.4</f>
        <v>-584.73</v>
      </c>
      <c r="L114" s="138">
        <f>F114/834.4</f>
        <v>0.29922099712368166</v>
      </c>
      <c r="M114" s="40">
        <f>E114-лютий!E114</f>
        <v>327.5</v>
      </c>
      <c r="N114" s="40">
        <f>F114-лютий!F114</f>
        <v>70.42999999999998</v>
      </c>
      <c r="O114" s="53">
        <f aca="true" t="shared" si="41" ref="O114:O125">N114-M114</f>
        <v>-257.07000000000005</v>
      </c>
      <c r="P114" s="60">
        <f>N114/M114*100</f>
        <v>21.505343511450377</v>
      </c>
      <c r="Q114" s="60">
        <f>N114-228.9</f>
        <v>-158.47000000000003</v>
      </c>
      <c r="R114" s="138">
        <f>N114/228.9</f>
        <v>0.3076889471384883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317.48</v>
      </c>
      <c r="G116" s="62">
        <f t="shared" si="37"/>
        <v>-465.62</v>
      </c>
      <c r="H116" s="72">
        <f t="shared" si="39"/>
        <v>40.54143787511173</v>
      </c>
      <c r="I116" s="61">
        <f t="shared" si="38"/>
        <v>-3622.12</v>
      </c>
      <c r="J116" s="61">
        <f t="shared" si="40"/>
        <v>8.058686161031577</v>
      </c>
      <c r="K116" s="61">
        <f>F116-902.4</f>
        <v>-584.92</v>
      </c>
      <c r="L116" s="139">
        <f>F116/902.4</f>
        <v>0.35181737588652484</v>
      </c>
      <c r="M116" s="62">
        <f>M114+M115+M113</f>
        <v>349.5</v>
      </c>
      <c r="N116" s="38">
        <f>SUM(N113:N115)</f>
        <v>94.15999999999998</v>
      </c>
      <c r="O116" s="61">
        <f t="shared" si="41"/>
        <v>-255.34000000000003</v>
      </c>
      <c r="P116" s="61">
        <f>N116/M116*100</f>
        <v>26.941344778254646</v>
      </c>
      <c r="Q116" s="61">
        <f>N116-253.5</f>
        <v>-159.34000000000003</v>
      </c>
      <c r="R116" s="139">
        <f>N116/253.5</f>
        <v>0.3714398422090729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101.3</v>
      </c>
      <c r="G118" s="49">
        <f t="shared" si="37"/>
        <v>101.3</v>
      </c>
      <c r="H118" s="40" t="e">
        <f t="shared" si="39"/>
        <v>#DIV/0!</v>
      </c>
      <c r="I118" s="60">
        <f t="shared" si="38"/>
        <v>101.3</v>
      </c>
      <c r="J118" s="60" t="e">
        <f t="shared" si="40"/>
        <v>#DIV/0!</v>
      </c>
      <c r="K118" s="60">
        <f>F118-7.7</f>
        <v>93.6</v>
      </c>
      <c r="L118" s="138">
        <f>F118/7.7</f>
        <v>13.155844155844155</v>
      </c>
      <c r="M118" s="40">
        <f>E118-лютий!E118</f>
        <v>0</v>
      </c>
      <c r="N118" s="40">
        <f>F118-лютий!F118</f>
        <v>43.91</v>
      </c>
      <c r="O118" s="53" t="s">
        <v>166</v>
      </c>
      <c r="P118" s="60"/>
      <c r="Q118" s="60">
        <f>N118-2.5</f>
        <v>41.41</v>
      </c>
      <c r="R118" s="138">
        <f>N118/2.5</f>
        <v>17.564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19438.1</v>
      </c>
      <c r="G119" s="49">
        <f t="shared" si="37"/>
        <v>825.5</v>
      </c>
      <c r="H119" s="40">
        <f t="shared" si="39"/>
        <v>104.43516757465372</v>
      </c>
      <c r="I119" s="53">
        <f t="shared" si="38"/>
        <v>-6549.285</v>
      </c>
      <c r="J119" s="60">
        <f t="shared" si="40"/>
        <v>74.79821459527383</v>
      </c>
      <c r="K119" s="60">
        <f>F119-17244.2</f>
        <v>2193.899999999998</v>
      </c>
      <c r="L119" s="138">
        <f>F119/17244.2</f>
        <v>1.1272253859268622</v>
      </c>
      <c r="M119" s="40">
        <f>E119-лютий!E119</f>
        <v>3092.999999999998</v>
      </c>
      <c r="N119" s="40">
        <f>F119-лютий!F119</f>
        <v>2556.7599999999984</v>
      </c>
      <c r="O119" s="53">
        <f t="shared" si="41"/>
        <v>-536.2399999999998</v>
      </c>
      <c r="P119" s="60">
        <f aca="true" t="shared" si="42" ref="P119:P124">N119/M119*100</f>
        <v>82.66278693824766</v>
      </c>
      <c r="Q119" s="60">
        <f>N119-2792.9</f>
        <v>-236.1400000000017</v>
      </c>
      <c r="R119" s="138">
        <f>N119/2792.9</f>
        <v>0.9154498907945141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1140.63</v>
      </c>
      <c r="G121" s="49">
        <f t="shared" si="37"/>
        <v>1140.63</v>
      </c>
      <c r="H121" s="40" t="e">
        <f t="shared" si="39"/>
        <v>#DIV/0!</v>
      </c>
      <c r="I121" s="60">
        <f t="shared" si="38"/>
        <v>1140.63</v>
      </c>
      <c r="J121" s="60" t="e">
        <f>F121/D121*100</f>
        <v>#DIV/0!</v>
      </c>
      <c r="K121" s="60">
        <f>F121-6993.4</f>
        <v>-5852.7699999999995</v>
      </c>
      <c r="L121" s="138">
        <f>F121/6993.4</f>
        <v>0.16310092372808652</v>
      </c>
      <c r="M121" s="40">
        <f>E121-лютий!E121</f>
        <v>0</v>
      </c>
      <c r="N121" s="40">
        <f>F121-лютий!F121</f>
        <v>97.46000000000004</v>
      </c>
      <c r="O121" s="53">
        <f t="shared" si="41"/>
        <v>97.46000000000004</v>
      </c>
      <c r="P121" s="60" t="e">
        <f t="shared" si="42"/>
        <v>#DIV/0!</v>
      </c>
      <c r="Q121" s="60">
        <f>N121-6463.4</f>
        <v>-6365.94</v>
      </c>
      <c r="R121" s="138">
        <f>N121/6463.4</f>
        <v>0.01507875112170066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462.58</v>
      </c>
      <c r="G122" s="49">
        <f t="shared" si="37"/>
        <v>462.58</v>
      </c>
      <c r="H122" s="40" t="e">
        <f t="shared" si="39"/>
        <v>#DIV/0!</v>
      </c>
      <c r="I122" s="60">
        <f t="shared" si="38"/>
        <v>462.58</v>
      </c>
      <c r="J122" s="60" t="e">
        <f>F122/D122*100</f>
        <v>#DIV/0!</v>
      </c>
      <c r="K122" s="60">
        <f>F122-314.5</f>
        <v>148.07999999999998</v>
      </c>
      <c r="L122" s="138">
        <f>F122/314.5</f>
        <v>1.4708426073131955</v>
      </c>
      <c r="M122" s="40">
        <f>E122-лютий!E122</f>
        <v>0</v>
      </c>
      <c r="N122" s="40">
        <f>F122-лютий!F122</f>
        <v>375.17999999999995</v>
      </c>
      <c r="O122" s="53">
        <f t="shared" si="41"/>
        <v>375.17999999999995</v>
      </c>
      <c r="P122" s="60" t="e">
        <f t="shared" si="42"/>
        <v>#DIV/0!</v>
      </c>
      <c r="Q122" s="60">
        <f>N122-7.7</f>
        <v>367.47999999999996</v>
      </c>
      <c r="R122" s="138">
        <f>N122/7.7</f>
        <v>48.72467532467532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21661.24</v>
      </c>
      <c r="G123" s="62">
        <f t="shared" si="37"/>
        <v>3048.640000000003</v>
      </c>
      <c r="H123" s="72">
        <f t="shared" si="39"/>
        <v>116.3794418834553</v>
      </c>
      <c r="I123" s="61">
        <f t="shared" si="38"/>
        <v>-4326.144999999997</v>
      </c>
      <c r="J123" s="61">
        <f>F123/D123*100</f>
        <v>83.35290372617331</v>
      </c>
      <c r="K123" s="61">
        <f>F123-24840.3</f>
        <v>-3179.0599999999977</v>
      </c>
      <c r="L123" s="139">
        <f>F123/24840.3</f>
        <v>0.8720200641699175</v>
      </c>
      <c r="M123" s="62">
        <f>M119+M120+M121+M122+M118</f>
        <v>3092.999999999998</v>
      </c>
      <c r="N123" s="62">
        <f>N119+N120+N121+N122+N118</f>
        <v>3116.039999999998</v>
      </c>
      <c r="O123" s="61">
        <f t="shared" si="41"/>
        <v>23.039999999999964</v>
      </c>
      <c r="P123" s="61">
        <f t="shared" si="42"/>
        <v>100.74490785645006</v>
      </c>
      <c r="Q123" s="61">
        <f>N123-9266.6</f>
        <v>-6150.560000000002</v>
      </c>
      <c r="R123" s="139">
        <f>N123/9266.6</f>
        <v>0.33626572853042086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4.18</v>
      </c>
      <c r="G124" s="49">
        <f t="shared" si="37"/>
        <v>-3.9800000000000004</v>
      </c>
      <c r="H124" s="40">
        <f t="shared" si="39"/>
        <v>51.225490196078425</v>
      </c>
      <c r="I124" s="60">
        <f t="shared" si="38"/>
        <v>-39.32</v>
      </c>
      <c r="J124" s="60">
        <f>F124/D124*100</f>
        <v>9.60919540229885</v>
      </c>
      <c r="K124" s="60">
        <f>F124-97</f>
        <v>-92.82</v>
      </c>
      <c r="L124" s="138">
        <f>F124/97</f>
        <v>0.043092783505154636</v>
      </c>
      <c r="M124" s="40">
        <f>E124-лютий!E124</f>
        <v>3</v>
      </c>
      <c r="N124" s="40">
        <f>F124-лютий!F124</f>
        <v>4.02</v>
      </c>
      <c r="O124" s="53">
        <f t="shared" si="41"/>
        <v>1.0199999999999996</v>
      </c>
      <c r="P124" s="60">
        <f>N124/M124*100</f>
        <v>134</v>
      </c>
      <c r="Q124" s="60">
        <f>N124-70.5</f>
        <v>-66.48</v>
      </c>
      <c r="R124" s="138">
        <f>N124/70.5</f>
        <v>0.05702127659574467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2616.33</v>
      </c>
      <c r="G129" s="62">
        <f t="shared" si="43"/>
        <v>93.47000000000025</v>
      </c>
      <c r="H129" s="72">
        <f>F129/E129*100</f>
        <v>103.7049221914811</v>
      </c>
      <c r="I129" s="61">
        <f t="shared" si="44"/>
        <v>-6134.370000000001</v>
      </c>
      <c r="J129" s="61">
        <f>F129/D129*100</f>
        <v>29.898522403921966</v>
      </c>
      <c r="K129" s="61">
        <f>F129-2544.3</f>
        <v>72.02999999999975</v>
      </c>
      <c r="L129" s="139">
        <f>G129/2544.3</f>
        <v>0.036737020005502594</v>
      </c>
      <c r="M129" s="62">
        <f>M124+M127+M128+M126</f>
        <v>3</v>
      </c>
      <c r="N129" s="62">
        <f>N124+N127+N128+N126</f>
        <v>-876.9999999999999</v>
      </c>
      <c r="O129" s="61">
        <f t="shared" si="45"/>
        <v>-879.9999999999999</v>
      </c>
      <c r="P129" s="61">
        <f>N129/M129*100</f>
        <v>-29233.333333333332</v>
      </c>
      <c r="Q129" s="61">
        <f>N129-69.8</f>
        <v>-946.7999999999998</v>
      </c>
      <c r="R129" s="137">
        <f>N129/69.8</f>
        <v>-12.564469914040114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3.06</v>
      </c>
      <c r="G130" s="49">
        <f>F130-E130</f>
        <v>-4.789999999999999</v>
      </c>
      <c r="H130" s="40">
        <f>F130/E130*100</f>
        <v>38.98089171974522</v>
      </c>
      <c r="I130" s="60">
        <f>F130-D130</f>
        <v>-26.94</v>
      </c>
      <c r="J130" s="60">
        <f>F130/D130*100</f>
        <v>10.200000000000001</v>
      </c>
      <c r="K130" s="60">
        <f>F130-8.4</f>
        <v>-5.34</v>
      </c>
      <c r="L130" s="138">
        <f>F130/8.4</f>
        <v>0.36428571428571427</v>
      </c>
      <c r="M130" s="40">
        <f>E130-лютий!E130</f>
        <v>7</v>
      </c>
      <c r="N130" s="40">
        <f>F130-лютий!F130</f>
        <v>1.08</v>
      </c>
      <c r="O130" s="53">
        <f>N130-M130</f>
        <v>-5.92</v>
      </c>
      <c r="P130" s="60">
        <f>N130/M130*100</f>
        <v>15.42857142857143</v>
      </c>
      <c r="Q130" s="60">
        <f>N130-7.3</f>
        <v>-6.22</v>
      </c>
      <c r="R130" s="138">
        <f>N130/7.3</f>
        <v>0.14794520547945206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24598.11</v>
      </c>
      <c r="G133" s="50">
        <f t="shared" si="43"/>
        <v>2671.7000000000007</v>
      </c>
      <c r="H133" s="51">
        <f>F133/E133*100</f>
        <v>112.18484922976448</v>
      </c>
      <c r="I133" s="36">
        <f t="shared" si="44"/>
        <v>-14109.574999999997</v>
      </c>
      <c r="J133" s="36">
        <f>F133/D133*100</f>
        <v>63.54838838850735</v>
      </c>
      <c r="K133" s="36">
        <f>F133-28295.3</f>
        <v>-3697.1899999999987</v>
      </c>
      <c r="L133" s="136">
        <f>F133/28295.3</f>
        <v>0.869335543358791</v>
      </c>
      <c r="M133" s="31">
        <f>M116+M130+M123+M129+M132+M131</f>
        <v>3452.499999999998</v>
      </c>
      <c r="N133" s="31">
        <f>N116+N130+N123+N129+N132+N131</f>
        <v>2334.279999999998</v>
      </c>
      <c r="O133" s="36">
        <f t="shared" si="45"/>
        <v>-1118.2200000000003</v>
      </c>
      <c r="P133" s="36">
        <f>N133/M133*100</f>
        <v>67.61129616220128</v>
      </c>
      <c r="Q133" s="36">
        <f>N133-9597.2</f>
        <v>-7262.920000000003</v>
      </c>
      <c r="R133" s="136">
        <f>N133/9597.2</f>
        <v>0.24322510732296895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127025.75999999998</v>
      </c>
      <c r="G134" s="50">
        <f t="shared" si="43"/>
        <v>-12976.75000000003</v>
      </c>
      <c r="H134" s="51">
        <f>F134/E134*100</f>
        <v>90.73105903601298</v>
      </c>
      <c r="I134" s="36">
        <f t="shared" si="44"/>
        <v>-448721.82499999995</v>
      </c>
      <c r="J134" s="36">
        <f>F134/D134*100</f>
        <v>22.06275168310085</v>
      </c>
      <c r="K134" s="36">
        <f>F134-143076.7</f>
        <v>-16050.940000000031</v>
      </c>
      <c r="L134" s="136">
        <f>F134/143076.7</f>
        <v>0.8878158358418944</v>
      </c>
      <c r="M134" s="22">
        <f>M106+M133</f>
        <v>45592.60000000001</v>
      </c>
      <c r="N134" s="22">
        <f>N106+N133</f>
        <v>33341.469999999994</v>
      </c>
      <c r="O134" s="36">
        <f t="shared" si="45"/>
        <v>-12251.13000000002</v>
      </c>
      <c r="P134" s="36">
        <f>N134/M134*100</f>
        <v>73.12912621785111</v>
      </c>
      <c r="Q134" s="36">
        <f>N134-49077.7</f>
        <v>-15736.230000000003</v>
      </c>
      <c r="R134" s="136">
        <f>N134/49077.7</f>
        <v>0.6793608909952992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2</v>
      </c>
      <c r="D136" s="4" t="s">
        <v>118</v>
      </c>
    </row>
    <row r="137" spans="2:17" ht="31.5">
      <c r="B137" s="78" t="s">
        <v>154</v>
      </c>
      <c r="C137" s="39">
        <f>IF(O106&lt;0,ABS(O106/C136),0)</f>
        <v>5566.455000000009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41725</v>
      </c>
      <c r="D138" s="39">
        <v>3360.7</v>
      </c>
      <c r="N138" s="152"/>
      <c r="O138" s="152"/>
    </row>
    <row r="139" spans="3:15" ht="15.75">
      <c r="C139" s="120">
        <v>41724</v>
      </c>
      <c r="D139" s="39">
        <v>1482.9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41723</v>
      </c>
      <c r="D140" s="39">
        <v>1767.1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114723.24487000001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100898.02291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" sqref="H1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187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190</v>
      </c>
      <c r="N3" s="172" t="s">
        <v>185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191</v>
      </c>
      <c r="F4" s="173" t="s">
        <v>116</v>
      </c>
      <c r="G4" s="175" t="s">
        <v>167</v>
      </c>
      <c r="H4" s="177" t="s">
        <v>168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89"/>
      <c r="N4" s="168" t="s">
        <v>194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184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192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178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175</v>
      </c>
      <c r="H4" s="177" t="s">
        <v>176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98"/>
      <c r="N4" s="168" t="s">
        <v>186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177</v>
      </c>
      <c r="L5" s="164"/>
      <c r="M5" s="199"/>
      <c r="N5" s="169"/>
      <c r="O5" s="171"/>
      <c r="P5" s="172"/>
      <c r="Q5" s="153" t="s">
        <v>179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2014-03-28T11:46:39Z</cp:lastPrinted>
  <dcterms:created xsi:type="dcterms:W3CDTF">2003-07-28T11:27:56Z</dcterms:created>
  <dcterms:modified xsi:type="dcterms:W3CDTF">2014-03-28T11:47:08Z</dcterms:modified>
  <cp:category/>
  <cp:version/>
  <cp:contentType/>
  <cp:contentStatus/>
</cp:coreProperties>
</file>